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9720" windowHeight="6495" activeTab="1"/>
  </bookViews>
  <sheets>
    <sheet name="Plan2" sheetId="1" r:id="rId1"/>
    <sheet name="dados_Romildo" sheetId="2" r:id="rId2"/>
  </sheets>
  <definedNames/>
  <calcPr fullCalcOnLoad="1"/>
</workbook>
</file>

<file path=xl/sharedStrings.xml><?xml version="1.0" encoding="utf-8"?>
<sst xmlns="http://schemas.openxmlformats.org/spreadsheetml/2006/main" count="79" uniqueCount="58">
  <si>
    <t>latitude</t>
  </si>
  <si>
    <t>data</t>
  </si>
  <si>
    <t>data julia.</t>
  </si>
  <si>
    <t>Rs (MJ/m2/d)</t>
  </si>
  <si>
    <t>d</t>
  </si>
  <si>
    <t>dr</t>
  </si>
  <si>
    <t>ws</t>
  </si>
  <si>
    <t>Ra</t>
  </si>
  <si>
    <t>Rso</t>
  </si>
  <si>
    <t>Rn</t>
  </si>
  <si>
    <t>G</t>
  </si>
  <si>
    <t>Calor lat.Vap(MJ/kg)</t>
  </si>
  <si>
    <t>Delta(KPa/oC)</t>
  </si>
  <si>
    <t>Cte Psicrom.</t>
  </si>
  <si>
    <t>Rs</t>
  </si>
  <si>
    <t xml:space="preserve">Vv </t>
  </si>
  <si>
    <t>Vv</t>
  </si>
  <si>
    <t>Tméd</t>
  </si>
  <si>
    <t>UR máx</t>
  </si>
  <si>
    <t>es</t>
  </si>
  <si>
    <t>Tmax</t>
  </si>
  <si>
    <t>Tmin</t>
  </si>
  <si>
    <t>s</t>
  </si>
  <si>
    <t>UR min</t>
  </si>
  <si>
    <t>UR méd</t>
  </si>
  <si>
    <t>Ea</t>
  </si>
  <si>
    <t>UR méd (%)</t>
  </si>
  <si>
    <t>DPV</t>
  </si>
  <si>
    <t>Tmáx</t>
  </si>
  <si>
    <t>ETo H-S</t>
  </si>
  <si>
    <t>Hargreaves e Samani</t>
  </si>
  <si>
    <t>Penman Monteith Fao 56</t>
  </si>
  <si>
    <t>UR%máx</t>
  </si>
  <si>
    <t>UR% min</t>
  </si>
  <si>
    <t>Es</t>
  </si>
  <si>
    <t>ETo</t>
  </si>
  <si>
    <t>x1</t>
  </si>
  <si>
    <t>x2</t>
  </si>
  <si>
    <t>x3</t>
  </si>
  <si>
    <t>x4</t>
  </si>
  <si>
    <t>x5</t>
  </si>
  <si>
    <t>Es Tmáx</t>
  </si>
  <si>
    <t>Es T min</t>
  </si>
  <si>
    <t>Modis_Agua</t>
  </si>
  <si>
    <t>px ruim</t>
  </si>
  <si>
    <t>Santa Cruz</t>
  </si>
  <si>
    <t>21 45'</t>
  </si>
  <si>
    <t>ETo PMFAO</t>
  </si>
  <si>
    <t>Tar_Máx</t>
  </si>
  <si>
    <t>Tar_Min</t>
  </si>
  <si>
    <t>UR Máx (%)</t>
  </si>
  <si>
    <t>UR Min (%)</t>
  </si>
  <si>
    <t>Es Tmx</t>
  </si>
  <si>
    <t>Es Tmn</t>
  </si>
  <si>
    <t>Es Tmd</t>
  </si>
  <si>
    <t>Tar_Md</t>
  </si>
  <si>
    <t>Rns</t>
  </si>
  <si>
    <t>Rnl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</si>
</sst>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"/>
    <numFmt numFmtId="186" formatCode="[$-416]dddd\,\ d&quot; de &quot;mmmm&quot; de &quot;yyyy"/>
    <numFmt numFmtId="187" formatCode="dd/mm/yy;@"/>
    <numFmt numFmtId="188" formatCode="0.00000"/>
    <numFmt numFmtId="189" formatCode="0.000"/>
    <numFmt numFmtId="190" formatCode="0.0000000"/>
    <numFmt numFmtId="191" formatCode="0.000000"/>
    <numFmt numFmtId="192" formatCode="[$-409]dddd\,\ mmmm\ dd\,\ yyyy"/>
    <numFmt numFmtId="193" formatCode="m/d;@"/>
    <numFmt numFmtId="194" formatCode="0.00000000"/>
    <numFmt numFmtId="195" formatCode="0.0000000000"/>
    <numFmt numFmtId="196" formatCode="0.000000000"/>
    <numFmt numFmtId="197" formatCode="mmm/yyyy"/>
    <numFmt numFmtId="198" formatCode="[$-416]mmm/yy;@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4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8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/>
    </xf>
    <xf numFmtId="18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184" fontId="0" fillId="35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36" borderId="0" xfId="0" applyNumberFormat="1" applyFill="1" applyAlignment="1">
      <alignment horizontal="center"/>
    </xf>
    <xf numFmtId="185" fontId="0" fillId="36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2" fontId="0" fillId="36" borderId="0" xfId="0" applyNumberFormat="1" applyFill="1" applyAlignment="1">
      <alignment/>
    </xf>
    <xf numFmtId="0" fontId="0" fillId="0" borderId="0" xfId="0" applyFont="1" applyAlignment="1">
      <alignment horizontal="center"/>
    </xf>
    <xf numFmtId="2" fontId="0" fillId="38" borderId="0" xfId="0" applyNumberFormat="1" applyFill="1" applyAlignment="1">
      <alignment horizontal="center"/>
    </xf>
    <xf numFmtId="2" fontId="0" fillId="34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30"/>
  <sheetViews>
    <sheetView zoomScalePageLayoutView="0" workbookViewId="0" topLeftCell="A4">
      <selection activeCell="B47" sqref="B47"/>
    </sheetView>
  </sheetViews>
  <sheetFormatPr defaultColWidth="9.140625" defaultRowHeight="12.75"/>
  <cols>
    <col min="5" max="7" width="11.00390625" style="0" bestFit="1" customWidth="1"/>
    <col min="8" max="8" width="13.00390625" style="0" customWidth="1"/>
    <col min="10" max="10" width="11.00390625" style="0" bestFit="1" customWidth="1"/>
    <col min="11" max="12" width="12.57421875" style="0" bestFit="1" customWidth="1"/>
    <col min="13" max="13" width="10.57421875" style="0" bestFit="1" customWidth="1"/>
    <col min="15" max="15" width="13.28125" style="0" customWidth="1"/>
  </cols>
  <sheetData>
    <row r="1" spans="1:9" ht="18">
      <c r="A1" s="7" t="s">
        <v>19</v>
      </c>
      <c r="B1" s="1" t="s">
        <v>20</v>
      </c>
      <c r="C1" s="1" t="s">
        <v>21</v>
      </c>
      <c r="D1" s="1" t="s">
        <v>17</v>
      </c>
      <c r="E1" s="7" t="s">
        <v>22</v>
      </c>
      <c r="F1" s="1" t="s">
        <v>18</v>
      </c>
      <c r="G1" s="1" t="s">
        <v>23</v>
      </c>
      <c r="H1" s="7" t="s">
        <v>24</v>
      </c>
      <c r="I1" s="7" t="s">
        <v>25</v>
      </c>
    </row>
    <row r="2" spans="1:14" ht="12.75">
      <c r="A2">
        <f>+((0.6108*EXP(((17.27*B2)/(237.3+B2))))+(0.6108*EXP(((17.27*C2)/(237.3+C2)))))/2</f>
        <v>3.153527130709749</v>
      </c>
      <c r="B2">
        <v>30</v>
      </c>
      <c r="C2">
        <v>18</v>
      </c>
      <c r="D2">
        <f>+(B2+C2)/2</f>
        <v>24</v>
      </c>
      <c r="E2">
        <f>+(4098*A2)/(D2+237.3)^2</f>
        <v>0.1892734534757774</v>
      </c>
      <c r="F2">
        <v>100</v>
      </c>
      <c r="G2">
        <v>40</v>
      </c>
      <c r="H2">
        <f>+(F2+G2)/2</f>
        <v>70</v>
      </c>
      <c r="I2">
        <f>+(H2*A2)/100</f>
        <v>2.207468991496824</v>
      </c>
      <c r="N2">
        <f>5/15</f>
        <v>0.3333333333333333</v>
      </c>
    </row>
    <row r="6" spans="2:12" ht="12.75">
      <c r="B6" t="s">
        <v>30</v>
      </c>
      <c r="J6" t="s">
        <v>30</v>
      </c>
      <c r="L6" s="1" t="s">
        <v>45</v>
      </c>
    </row>
    <row r="7" spans="2:15" ht="12.75">
      <c r="B7" s="1" t="s">
        <v>28</v>
      </c>
      <c r="C7" s="1" t="s">
        <v>21</v>
      </c>
      <c r="D7" s="1" t="s">
        <v>17</v>
      </c>
      <c r="E7" s="1" t="s">
        <v>7</v>
      </c>
      <c r="F7" s="1" t="s">
        <v>29</v>
      </c>
      <c r="G7" s="1" t="s">
        <v>43</v>
      </c>
      <c r="J7" s="1" t="s">
        <v>28</v>
      </c>
      <c r="K7" s="1" t="s">
        <v>21</v>
      </c>
      <c r="L7" s="1" t="s">
        <v>17</v>
      </c>
      <c r="M7" s="1" t="s">
        <v>7</v>
      </c>
      <c r="N7" s="1" t="s">
        <v>29</v>
      </c>
      <c r="O7" s="1" t="s">
        <v>43</v>
      </c>
    </row>
    <row r="8" spans="1:15" ht="12.75">
      <c r="A8" s="19">
        <v>190</v>
      </c>
      <c r="B8" s="1">
        <v>25.6</v>
      </c>
      <c r="C8" s="1">
        <v>17.3</v>
      </c>
      <c r="D8" s="1">
        <v>21.4</v>
      </c>
      <c r="E8" s="1">
        <v>9.1</v>
      </c>
      <c r="F8" s="10">
        <f aca="true" t="shared" si="0" ref="F8:F15">(0.0023*E8)*(B8-C8)^0.5*(D8+17.8)</f>
        <v>2.36371081096415</v>
      </c>
      <c r="G8" s="1">
        <v>3.09</v>
      </c>
      <c r="I8" s="19">
        <v>190</v>
      </c>
      <c r="J8" s="1">
        <v>31.12</v>
      </c>
      <c r="K8" s="1">
        <v>14.85</v>
      </c>
      <c r="L8" s="1">
        <f aca="true" t="shared" si="1" ref="L8:L13">+(J8+K8)/2</f>
        <v>22.985</v>
      </c>
      <c r="M8" s="1">
        <v>9.64467599699075</v>
      </c>
      <c r="N8" s="10">
        <f aca="true" t="shared" si="2" ref="N8:N13">(0.0023*M8)*(J8-K8)^0.5*(L8+17.8)</f>
        <v>3.6493012987395437</v>
      </c>
      <c r="O8" s="1">
        <v>3.768</v>
      </c>
    </row>
    <row r="9" spans="1:15" ht="12.75">
      <c r="A9" s="19">
        <v>200</v>
      </c>
      <c r="B9" s="1">
        <v>30.7</v>
      </c>
      <c r="C9" s="1">
        <v>21.7</v>
      </c>
      <c r="D9" s="1">
        <f aca="true" t="shared" si="3" ref="D9:D15">+(B9+C9)/2</f>
        <v>26.2</v>
      </c>
      <c r="E9" s="1">
        <v>9.1</v>
      </c>
      <c r="F9" s="10">
        <f t="shared" si="0"/>
        <v>2.762759999999999</v>
      </c>
      <c r="G9" s="1">
        <v>3.521</v>
      </c>
      <c r="I9" s="19">
        <v>200</v>
      </c>
      <c r="J9" s="1">
        <v>30.71</v>
      </c>
      <c r="K9" s="1">
        <v>11.38</v>
      </c>
      <c r="L9" s="1">
        <f t="shared" si="1"/>
        <v>21.045</v>
      </c>
      <c r="M9" s="1">
        <v>9.989617270807889</v>
      </c>
      <c r="N9" s="10">
        <f t="shared" si="2"/>
        <v>3.923988612405602</v>
      </c>
      <c r="O9" s="1">
        <v>3.693</v>
      </c>
    </row>
    <row r="10" spans="1:15" ht="12.75">
      <c r="A10" s="19">
        <v>201</v>
      </c>
      <c r="B10" s="1">
        <v>30.8</v>
      </c>
      <c r="C10" s="1">
        <v>22.2</v>
      </c>
      <c r="D10" s="1">
        <f t="shared" si="3"/>
        <v>26.5</v>
      </c>
      <c r="E10" s="1">
        <v>9.1</v>
      </c>
      <c r="F10" s="10">
        <f t="shared" si="0"/>
        <v>2.7190812191195386</v>
      </c>
      <c r="G10" s="1">
        <v>3.337</v>
      </c>
      <c r="I10" s="19">
        <v>201</v>
      </c>
      <c r="J10" s="1">
        <v>29.9</v>
      </c>
      <c r="K10" s="1">
        <v>11.77</v>
      </c>
      <c r="L10" s="1">
        <f t="shared" si="1"/>
        <v>20.835</v>
      </c>
      <c r="M10" s="1">
        <v>10.031383678055246</v>
      </c>
      <c r="N10" s="10">
        <f t="shared" si="2"/>
        <v>3.7954956338489936</v>
      </c>
      <c r="O10" s="1">
        <v>3.669</v>
      </c>
    </row>
    <row r="11" spans="1:15" ht="12.75">
      <c r="A11" s="19">
        <v>202</v>
      </c>
      <c r="B11" s="1">
        <v>30.6</v>
      </c>
      <c r="C11" s="1">
        <v>21.4</v>
      </c>
      <c r="D11" s="1">
        <f t="shared" si="3"/>
        <v>26</v>
      </c>
      <c r="E11" s="1">
        <v>9.1</v>
      </c>
      <c r="F11" s="10">
        <f t="shared" si="0"/>
        <v>2.7805918949308612</v>
      </c>
      <c r="G11" s="1">
        <v>3.341</v>
      </c>
      <c r="I11" s="19">
        <v>202</v>
      </c>
      <c r="J11" s="1">
        <v>29.52</v>
      </c>
      <c r="K11" s="1">
        <v>12.55</v>
      </c>
      <c r="L11" s="1">
        <f t="shared" si="1"/>
        <v>21.035</v>
      </c>
      <c r="M11" s="1">
        <v>10.074468030091058</v>
      </c>
      <c r="N11" s="10">
        <f t="shared" si="2"/>
        <v>3.7069283322766813</v>
      </c>
      <c r="O11" s="1">
        <v>3.909</v>
      </c>
    </row>
    <row r="12" spans="1:15" ht="12.75">
      <c r="A12" s="19">
        <v>203</v>
      </c>
      <c r="B12" s="1">
        <v>31.1</v>
      </c>
      <c r="C12" s="1">
        <v>23.2</v>
      </c>
      <c r="D12" s="1">
        <f t="shared" si="3"/>
        <v>27.15</v>
      </c>
      <c r="E12" s="1">
        <v>9.1</v>
      </c>
      <c r="F12" s="10">
        <f t="shared" si="0"/>
        <v>2.6443106251605117</v>
      </c>
      <c r="G12" s="1" t="s">
        <v>44</v>
      </c>
      <c r="I12" s="19">
        <v>203</v>
      </c>
      <c r="J12" s="1">
        <v>31.93</v>
      </c>
      <c r="K12" s="1">
        <v>9.42</v>
      </c>
      <c r="L12" s="1">
        <f t="shared" si="1"/>
        <v>20.675</v>
      </c>
      <c r="M12" s="1">
        <v>10.259586620572637</v>
      </c>
      <c r="N12" s="10">
        <f t="shared" si="2"/>
        <v>4.307487983193173</v>
      </c>
      <c r="O12" s="1">
        <v>4.019</v>
      </c>
    </row>
    <row r="13" spans="1:15" ht="12.75">
      <c r="A13" s="19">
        <v>204</v>
      </c>
      <c r="B13" s="1">
        <v>31.9</v>
      </c>
      <c r="C13" s="1">
        <v>21.8</v>
      </c>
      <c r="D13" s="1">
        <f t="shared" si="3"/>
        <v>26.85</v>
      </c>
      <c r="E13" s="1">
        <v>9.1</v>
      </c>
      <c r="F13" s="10">
        <f t="shared" si="0"/>
        <v>2.969965322207066</v>
      </c>
      <c r="G13" s="1">
        <v>3.659</v>
      </c>
      <c r="I13" s="19">
        <v>204</v>
      </c>
      <c r="J13" s="1">
        <v>35.27</v>
      </c>
      <c r="K13" s="1">
        <v>12.93</v>
      </c>
      <c r="L13" s="1">
        <f t="shared" si="1"/>
        <v>24.1</v>
      </c>
      <c r="M13" s="1">
        <v>10.35951880852894</v>
      </c>
      <c r="N13" s="10">
        <f t="shared" si="2"/>
        <v>4.718707165202587</v>
      </c>
      <c r="O13" s="1">
        <v>4.825</v>
      </c>
    </row>
    <row r="14" spans="1:15" ht="12.75">
      <c r="A14" s="19">
        <v>206</v>
      </c>
      <c r="B14" s="1">
        <v>29.7</v>
      </c>
      <c r="C14" s="1">
        <v>21.5</v>
      </c>
      <c r="D14" s="1">
        <f t="shared" si="3"/>
        <v>25.6</v>
      </c>
      <c r="E14" s="1">
        <v>9.1</v>
      </c>
      <c r="F14" s="10">
        <f t="shared" si="0"/>
        <v>2.601152915335967</v>
      </c>
      <c r="G14" s="1">
        <v>3.812</v>
      </c>
      <c r="I14" s="19"/>
      <c r="J14" s="1"/>
      <c r="K14" s="1"/>
      <c r="L14" s="1"/>
      <c r="M14" s="1"/>
      <c r="N14" s="10"/>
      <c r="O14" s="1"/>
    </row>
    <row r="15" spans="1:15" ht="12.75">
      <c r="A15" s="19">
        <v>208</v>
      </c>
      <c r="B15" s="1">
        <v>30.1</v>
      </c>
      <c r="C15" s="1">
        <v>21.2</v>
      </c>
      <c r="D15" s="1">
        <f t="shared" si="3"/>
        <v>25.65</v>
      </c>
      <c r="E15" s="1">
        <v>9.1</v>
      </c>
      <c r="F15" s="10">
        <f t="shared" si="0"/>
        <v>2.7130263538828783</v>
      </c>
      <c r="G15" s="1">
        <v>4.12</v>
      </c>
      <c r="I15" s="19"/>
      <c r="J15" s="1"/>
      <c r="K15" s="1"/>
      <c r="L15" s="1"/>
      <c r="M15" s="1"/>
      <c r="N15" s="10"/>
      <c r="O15" s="1"/>
    </row>
    <row r="16" spans="2:6" ht="12.75">
      <c r="B16" s="10"/>
      <c r="C16" s="10"/>
      <c r="D16" s="10"/>
      <c r="E16" s="1"/>
      <c r="F16" s="10"/>
    </row>
    <row r="18" ht="12.75">
      <c r="B18" t="s">
        <v>31</v>
      </c>
    </row>
    <row r="19" spans="2:16" ht="12.75">
      <c r="B19" s="11" t="s">
        <v>9</v>
      </c>
      <c r="C19" s="11" t="s">
        <v>10</v>
      </c>
      <c r="D19" s="11" t="s">
        <v>16</v>
      </c>
      <c r="E19" s="11" t="s">
        <v>28</v>
      </c>
      <c r="F19" s="11" t="s">
        <v>21</v>
      </c>
      <c r="G19" s="11" t="s">
        <v>32</v>
      </c>
      <c r="H19" s="11" t="s">
        <v>33</v>
      </c>
      <c r="I19" s="12" t="s">
        <v>17</v>
      </c>
      <c r="J19" s="12" t="s">
        <v>24</v>
      </c>
      <c r="K19" s="12" t="s">
        <v>41</v>
      </c>
      <c r="L19" s="12" t="s">
        <v>42</v>
      </c>
      <c r="M19" s="12" t="s">
        <v>34</v>
      </c>
      <c r="N19" s="12" t="s">
        <v>25</v>
      </c>
      <c r="O19" s="12" t="s">
        <v>22</v>
      </c>
      <c r="P19" s="12" t="s">
        <v>35</v>
      </c>
    </row>
    <row r="20" spans="1:16" ht="12.75">
      <c r="A20" s="15" t="s">
        <v>36</v>
      </c>
      <c r="B20" s="1">
        <v>8.5</v>
      </c>
      <c r="C20" s="1">
        <v>0.82</v>
      </c>
      <c r="D20" s="1">
        <v>1.8</v>
      </c>
      <c r="E20" s="1">
        <v>30</v>
      </c>
      <c r="F20" s="1">
        <v>18</v>
      </c>
      <c r="G20" s="1">
        <v>100</v>
      </c>
      <c r="H20" s="1">
        <v>40</v>
      </c>
      <c r="I20" s="12">
        <f>+(E20+F20)/2</f>
        <v>24</v>
      </c>
      <c r="J20" s="12">
        <f>+(G20+H20)/2</f>
        <v>70</v>
      </c>
      <c r="K20" s="13">
        <f aca="true" t="shared" si="4" ref="K20:L24">0.6108*EXP((17.27*E20)/(237.3+E20))</f>
        <v>4.243065058759013</v>
      </c>
      <c r="L20" s="13">
        <f t="shared" si="4"/>
        <v>2.063989202660485</v>
      </c>
      <c r="M20" s="13">
        <f>+(K20+L20)/2</f>
        <v>3.153527130709749</v>
      </c>
      <c r="N20" s="13">
        <f>+(J20*M20)/100</f>
        <v>2.207468991496824</v>
      </c>
      <c r="O20" s="14">
        <f>+(4098*M20)/(I20+237.3)^2</f>
        <v>0.1892734534757774</v>
      </c>
      <c r="P20" s="13">
        <f>+(0.408*O20*(B20-C20)+(0.063*900*D20*(M20-N20))/(I20+273))/(O20+0.063*(1+0.34*D20))</f>
        <v>3.1570976661183576</v>
      </c>
    </row>
    <row r="21" spans="1:16" ht="12.75">
      <c r="A21" s="15" t="s">
        <v>37</v>
      </c>
      <c r="B21" s="1">
        <v>1.73943</v>
      </c>
      <c r="C21" s="1">
        <v>0</v>
      </c>
      <c r="D21" s="1">
        <v>0.204</v>
      </c>
      <c r="E21" s="1">
        <v>18.855</v>
      </c>
      <c r="F21" s="1">
        <v>18.855</v>
      </c>
      <c r="G21" s="1">
        <v>93.9</v>
      </c>
      <c r="H21" s="1">
        <v>93.9</v>
      </c>
      <c r="I21" s="12">
        <f>+(E21+F21)/2</f>
        <v>18.855</v>
      </c>
      <c r="J21" s="12">
        <f>+(G21+H21)/2</f>
        <v>93.9</v>
      </c>
      <c r="K21" s="13">
        <f t="shared" si="4"/>
        <v>2.177593994883864</v>
      </c>
      <c r="L21" s="13">
        <f t="shared" si="4"/>
        <v>2.177593994883864</v>
      </c>
      <c r="M21" s="13">
        <f>+(K21+L21)/2</f>
        <v>2.177593994883864</v>
      </c>
      <c r="N21" s="13">
        <f>+(J21*M21)/100</f>
        <v>2.044760761195948</v>
      </c>
      <c r="O21" s="14">
        <f>+(4098*M21)/(I21+237.3)^2</f>
        <v>0.13600134059466967</v>
      </c>
      <c r="P21" s="13">
        <f>+(0.408*O21*(B21-C21)+(0.063*37*D21*(M21-N21))/(I21+273))/(O21+0.063*(1+0.34*D21))</f>
        <v>0.47565710327695687</v>
      </c>
    </row>
    <row r="22" spans="1:16" ht="12.75">
      <c r="A22" s="15" t="s">
        <v>38</v>
      </c>
      <c r="B22" s="1">
        <v>8.8</v>
      </c>
      <c r="C22" s="1">
        <v>0.93</v>
      </c>
      <c r="D22" s="1">
        <v>1</v>
      </c>
      <c r="E22" s="1">
        <v>26.6</v>
      </c>
      <c r="F22" s="1">
        <v>18.4</v>
      </c>
      <c r="G22" s="1">
        <v>100</v>
      </c>
      <c r="H22" s="1">
        <v>56.6</v>
      </c>
      <c r="I22" s="12">
        <f>+(E22+F22)/2</f>
        <v>22.5</v>
      </c>
      <c r="J22" s="12">
        <f>+(G22+H22)/2</f>
        <v>78.3</v>
      </c>
      <c r="K22" s="13">
        <f t="shared" si="4"/>
        <v>3.482522891456</v>
      </c>
      <c r="L22" s="13">
        <f t="shared" si="4"/>
        <v>2.1164748063682803</v>
      </c>
      <c r="M22" s="13">
        <f>+(K22+L22)/2</f>
        <v>2.7994988489121404</v>
      </c>
      <c r="N22" s="13">
        <f>+(J22*M22)/100</f>
        <v>2.192007598698206</v>
      </c>
      <c r="O22" s="14">
        <f>+(4098*M22)/(I22+237.3)^2</f>
        <v>0.16997065728362656</v>
      </c>
      <c r="P22" s="13">
        <f>+(0.408*O22*(B22-C22)+(0.063*900*D22*(M22-N22))/(I22+273))/(O22+0.063*(1+0.34*D22))</f>
        <v>2.6036069867445497</v>
      </c>
    </row>
    <row r="23" spans="1:16" ht="12.75">
      <c r="A23" s="15" t="s">
        <v>39</v>
      </c>
      <c r="B23" s="1">
        <v>9.1</v>
      </c>
      <c r="C23" s="1">
        <v>0.98</v>
      </c>
      <c r="D23" s="1">
        <v>1</v>
      </c>
      <c r="E23" s="1">
        <v>24.3</v>
      </c>
      <c r="F23" s="1">
        <v>19.3</v>
      </c>
      <c r="G23" s="1">
        <v>100</v>
      </c>
      <c r="H23" s="1">
        <v>72</v>
      </c>
      <c r="I23" s="12">
        <f>+(E23+F23)/2</f>
        <v>21.8</v>
      </c>
      <c r="J23" s="12">
        <f>+(G23+H23)/2</f>
        <v>86</v>
      </c>
      <c r="K23" s="13">
        <f t="shared" si="4"/>
        <v>3.0380717152215446</v>
      </c>
      <c r="L23" s="13">
        <f t="shared" si="4"/>
        <v>2.238858124675362</v>
      </c>
      <c r="M23" s="13">
        <f>+(K23+L23)/2</f>
        <v>2.6384649199484533</v>
      </c>
      <c r="N23" s="13">
        <f>+(J23*M23)/100</f>
        <v>2.26907983115567</v>
      </c>
      <c r="O23" s="14">
        <f>+(4098*M23)/(I23+237.3)^2</f>
        <v>0.16106028098553835</v>
      </c>
      <c r="P23" s="13">
        <f>+(0.408*O23*(B23-C23)+(0.063*900*D23*(M23-N23))/(I23+273))/(O23+0.063*(1+0.34*D23))</f>
        <v>2.463055274926919</v>
      </c>
    </row>
    <row r="24" spans="1:16" ht="12.75">
      <c r="A24" s="15" t="s">
        <v>40</v>
      </c>
      <c r="B24" s="1">
        <v>10.2</v>
      </c>
      <c r="C24" s="1">
        <v>1.2</v>
      </c>
      <c r="D24" s="1">
        <v>0.9</v>
      </c>
      <c r="E24" s="1">
        <v>25.5</v>
      </c>
      <c r="F24" s="1">
        <v>18.4</v>
      </c>
      <c r="G24" s="1">
        <v>100</v>
      </c>
      <c r="H24" s="1">
        <v>64.9</v>
      </c>
      <c r="I24" s="12">
        <f>+(E24+F24)/2</f>
        <v>21.95</v>
      </c>
      <c r="J24" s="12">
        <f>+(G24+H24)/2</f>
        <v>82.45</v>
      </c>
      <c r="K24" s="13">
        <f t="shared" si="4"/>
        <v>3.263356619324485</v>
      </c>
      <c r="L24" s="13">
        <f t="shared" si="4"/>
        <v>2.1164748063682803</v>
      </c>
      <c r="M24" s="13">
        <f>+(K24+L24)/2</f>
        <v>2.689915712846383</v>
      </c>
      <c r="N24" s="13">
        <f>+(J24*M24)/100</f>
        <v>2.2178355052418426</v>
      </c>
      <c r="O24" s="14">
        <f>+(4098*M24)/(I24+237.3)^2</f>
        <v>0.16401104500865435</v>
      </c>
      <c r="P24" s="13">
        <f>+(0.408*O24*(B24-C24)+(0.063*900*D24*(M24-N24))/(I24+273))/(O24+0.063*(1+0.34*D24))</f>
        <v>2.776917159047401</v>
      </c>
    </row>
    <row r="28" spans="3:5" ht="12.75">
      <c r="C28">
        <f>34.32-30.4</f>
        <v>3.9200000000000017</v>
      </c>
      <c r="D28">
        <f>18.02-13.7</f>
        <v>4.32</v>
      </c>
      <c r="E28" s="16"/>
    </row>
    <row r="29" spans="3:5" ht="12.75">
      <c r="C29">
        <f>+C28/30.4</f>
        <v>0.1289473684210527</v>
      </c>
      <c r="D29">
        <f>+D28/13.7</f>
        <v>0.3153284671532847</v>
      </c>
      <c r="E29">
        <f>+((C29+D29)/2)*100</f>
        <v>22.21379177871687</v>
      </c>
    </row>
    <row r="30" spans="3:5" ht="12.75">
      <c r="C30">
        <f>34.32*0.88</f>
        <v>30.2016</v>
      </c>
      <c r="D30">
        <f>18.02*0.76</f>
        <v>13.6952</v>
      </c>
      <c r="E30" s="8">
        <f>100-E29</f>
        <v>77.78620822128313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AI10"/>
  <sheetViews>
    <sheetView tabSelected="1" zoomScalePageLayoutView="0" workbookViewId="0" topLeftCell="T1">
      <selection activeCell="Y15" sqref="Y15"/>
    </sheetView>
  </sheetViews>
  <sheetFormatPr defaultColWidth="9.140625" defaultRowHeight="12.75"/>
  <cols>
    <col min="1" max="1" width="13.28125" style="0" customWidth="1"/>
    <col min="3" max="3" width="11.00390625" style="0" customWidth="1"/>
    <col min="4" max="4" width="14.421875" style="0" customWidth="1"/>
    <col min="12" max="12" width="11.00390625" style="0" bestFit="1" customWidth="1"/>
    <col min="15" max="15" width="9.57421875" style="0" bestFit="1" customWidth="1"/>
    <col min="16" max="17" width="9.57421875" style="0" customWidth="1"/>
    <col min="19" max="19" width="10.8515625" style="0" customWidth="1"/>
    <col min="20" max="20" width="13.421875" style="0" customWidth="1"/>
    <col min="21" max="21" width="11.57421875" style="0" customWidth="1"/>
    <col min="31" max="31" width="12.28125" style="9" customWidth="1"/>
    <col min="32" max="32" width="12.57421875" style="0" customWidth="1"/>
    <col min="33" max="33" width="13.28125" style="9" customWidth="1"/>
    <col min="34" max="34" width="14.140625" style="9" customWidth="1"/>
    <col min="35" max="35" width="9.140625" style="9" customWidth="1"/>
  </cols>
  <sheetData>
    <row r="1" spans="1:7" ht="12.75">
      <c r="A1" t="s">
        <v>0</v>
      </c>
      <c r="B1" t="s">
        <v>46</v>
      </c>
      <c r="C1">
        <f>21+45/60</f>
        <v>21.75</v>
      </c>
      <c r="D1">
        <f>-C1/180*PI()</f>
        <v>-0.37960911230876665</v>
      </c>
      <c r="F1">
        <f>41+24/60</f>
        <v>41.4</v>
      </c>
      <c r="G1">
        <f>-F1/180*PI()</f>
        <v>-0.7225663103256523</v>
      </c>
    </row>
    <row r="2" spans="1:34" ht="12.75">
      <c r="A2" s="1" t="s">
        <v>1</v>
      </c>
      <c r="B2" t="s">
        <v>2</v>
      </c>
      <c r="C2" s="2" t="s">
        <v>14</v>
      </c>
      <c r="D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1" t="s">
        <v>56</v>
      </c>
      <c r="K2" s="31" t="s">
        <v>57</v>
      </c>
      <c r="L2" s="1" t="s">
        <v>9</v>
      </c>
      <c r="M2" s="1" t="s">
        <v>10</v>
      </c>
      <c r="N2" s="2" t="s">
        <v>15</v>
      </c>
      <c r="O2" s="29" t="s">
        <v>55</v>
      </c>
      <c r="P2" s="29" t="s">
        <v>48</v>
      </c>
      <c r="Q2" s="29" t="s">
        <v>49</v>
      </c>
      <c r="R2" s="2" t="s">
        <v>15</v>
      </c>
      <c r="S2" t="s">
        <v>11</v>
      </c>
      <c r="T2" t="s">
        <v>12</v>
      </c>
      <c r="U2" s="4" t="s">
        <v>13</v>
      </c>
      <c r="V2" s="31" t="s">
        <v>34</v>
      </c>
      <c r="W2" s="31" t="s">
        <v>52</v>
      </c>
      <c r="X2" s="31" t="s">
        <v>53</v>
      </c>
      <c r="Y2" s="31" t="s">
        <v>54</v>
      </c>
      <c r="Z2" s="31" t="s">
        <v>25</v>
      </c>
      <c r="AA2" s="1" t="s">
        <v>27</v>
      </c>
      <c r="AB2" s="1">
        <v>1</v>
      </c>
      <c r="AC2" s="1">
        <v>2</v>
      </c>
      <c r="AD2" s="1">
        <v>3</v>
      </c>
      <c r="AE2" s="27" t="s">
        <v>47</v>
      </c>
      <c r="AF2" s="2" t="s">
        <v>26</v>
      </c>
      <c r="AG2" s="29" t="s">
        <v>50</v>
      </c>
      <c r="AH2" s="29" t="s">
        <v>51</v>
      </c>
    </row>
    <row r="3" spans="1:35" ht="12.75">
      <c r="A3" s="21"/>
      <c r="B3" s="20"/>
      <c r="C3" s="8"/>
      <c r="D3" s="3"/>
      <c r="E3" s="17"/>
      <c r="F3" s="17"/>
      <c r="G3" s="17"/>
      <c r="H3" s="10"/>
      <c r="I3" s="17"/>
      <c r="J3" s="17"/>
      <c r="K3" s="17"/>
      <c r="L3" s="3"/>
      <c r="M3" s="1"/>
      <c r="N3" s="23"/>
      <c r="O3" s="24"/>
      <c r="P3" s="24"/>
      <c r="Q3" s="24"/>
      <c r="R3" s="2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8"/>
      <c r="AF3" s="26"/>
      <c r="AG3" s="30"/>
      <c r="AH3" s="30"/>
      <c r="AI3" s="18"/>
    </row>
    <row r="4" spans="1:35" ht="12.75">
      <c r="A4" s="21">
        <v>41944</v>
      </c>
      <c r="B4" s="20">
        <v>305</v>
      </c>
      <c r="C4" s="25">
        <v>255.73</v>
      </c>
      <c r="D4" s="3">
        <f>+C4*0.0864</f>
        <v>22.095072000000002</v>
      </c>
      <c r="E4" s="17">
        <f>0.409*SIN(0.0172*B4-1.39)</f>
        <v>-0.2679644452815161</v>
      </c>
      <c r="F4" s="17">
        <f>1+0.033*COS(0.0172*B4)</f>
        <v>1.0167853065078074</v>
      </c>
      <c r="G4" s="17">
        <f>+ACOS(-TAN($D$1)*TAN(E4))</f>
        <v>1.6805580732417527</v>
      </c>
      <c r="H4" s="10">
        <f>37.6*F4*(G4*SIN($D$1)*SIN(E4)+COS($D$1)*COS(E4)*SIN(G4))</f>
        <v>40.339777917286305</v>
      </c>
      <c r="I4" s="17">
        <f>+(0.75+2*10^-5*11)*H4</f>
        <v>30.26370818910653</v>
      </c>
      <c r="J4" s="32">
        <f>(1-0.23)*D4</f>
        <v>17.01320544</v>
      </c>
      <c r="K4" s="33">
        <f>4.903*10^-9*(((P4+273.3)^4+(Q4+273.3)^4)/2)*(0.34-0.14*SQRT(Z4))*(1.35*(D4/I4)-0.35)</f>
        <v>3.588631696279146</v>
      </c>
      <c r="L4" s="6">
        <f>+J4-K4</f>
        <v>13.424573743720854</v>
      </c>
      <c r="M4" s="1">
        <v>0</v>
      </c>
      <c r="N4" s="25">
        <v>2.63</v>
      </c>
      <c r="O4" s="25">
        <f>+AVERAGE(P4:Q4)</f>
        <v>24.4</v>
      </c>
      <c r="P4" s="25">
        <v>31.1</v>
      </c>
      <c r="Q4" s="25">
        <v>17.7</v>
      </c>
      <c r="R4" s="25">
        <v>2.63</v>
      </c>
      <c r="S4" s="5">
        <f>2.501-(2.361*10^-3)*O4</f>
        <v>2.4433916</v>
      </c>
      <c r="T4" s="5">
        <f>4098*Y4/(O4+237.3)^2</f>
        <v>0.1829382288389594</v>
      </c>
      <c r="U4" s="22">
        <v>0.063</v>
      </c>
      <c r="V4" s="32">
        <f>+(W4+X4)/2</f>
        <v>3.272875619291767</v>
      </c>
      <c r="W4" s="6">
        <f>0.611*EXP((17.27*P4)/(P4+237.3))</f>
        <v>4.519711830811496</v>
      </c>
      <c r="X4" s="6">
        <f>0.611*EXP((17.27*Q4)/(Q4+237.3))</f>
        <v>2.026039407772038</v>
      </c>
      <c r="Y4" s="6">
        <f>0.611*EXP((17.27*O4)/(O4+237.3))</f>
        <v>3.057313410270532</v>
      </c>
      <c r="Z4" s="6">
        <f>+(X4*(AG4/100)+W4*(AH4/100))/2</f>
        <v>1.916962070048318</v>
      </c>
      <c r="AA4" s="6">
        <f>+V4-Z4</f>
        <v>1.355913549243449</v>
      </c>
      <c r="AB4" s="5">
        <f>0.408*T4*(L4-M4)</f>
        <v>1.0019940393864708</v>
      </c>
      <c r="AC4" s="5">
        <f>+U4*(900/(O4+273))*R4*AA4</f>
        <v>0.6798762083951996</v>
      </c>
      <c r="AD4" s="5">
        <f>+T4+U4*(1+(0.34*R4))</f>
        <v>0.30227282883895945</v>
      </c>
      <c r="AE4" s="28">
        <f>+(AB4+AC4)/AD4</f>
        <v>5.564080153157639</v>
      </c>
      <c r="AF4" s="25">
        <f>+AVERAGE(AG4:AH4)</f>
        <v>70</v>
      </c>
      <c r="AG4" s="26">
        <v>100</v>
      </c>
      <c r="AH4" s="26">
        <v>40</v>
      </c>
      <c r="AI4" s="18"/>
    </row>
    <row r="5" spans="1:34" ht="12.75">
      <c r="A5" s="21">
        <f>A4+1</f>
        <v>41945</v>
      </c>
      <c r="B5" s="20">
        <f>+B4+1</f>
        <v>306</v>
      </c>
      <c r="C5" s="25">
        <v>267.18</v>
      </c>
      <c r="D5" s="3">
        <f>+C5*0.0864</f>
        <v>23.084352000000003</v>
      </c>
      <c r="E5" s="17">
        <f>0.409*SIN(0.0172*B5-1.39)</f>
        <v>-0.2732392093135677</v>
      </c>
      <c r="F5" s="17">
        <f>1+0.033*COS(0.0172*B5)</f>
        <v>1.017271489545155</v>
      </c>
      <c r="G5" s="17">
        <f>+ACOS(-TAN($D$1)*TAN(E5))</f>
        <v>1.6828384504741416</v>
      </c>
      <c r="H5" s="10">
        <f>37.6*F5*(G5*SIN($D$1)*SIN(E5)+COS($D$1)*COS(E5)*SIN(G5))</f>
        <v>40.43043447341524</v>
      </c>
      <c r="I5" s="17">
        <f>+(0.75+2*10^-5*11)*H5</f>
        <v>30.33172055064558</v>
      </c>
      <c r="J5" s="32">
        <f>(1-0.23)*D5</f>
        <v>17.77495104</v>
      </c>
      <c r="K5" s="33">
        <f>4.903*10^-9*(((P5+273.3)^4+(Q5+273.3)^4)/2)*(0.34-0.14*SQRT(Z5))*(1.35*(D5/I5)-0.35)</f>
        <v>3.3863787229704863</v>
      </c>
      <c r="L5" s="6">
        <f>+J5-K5</f>
        <v>14.388572317029515</v>
      </c>
      <c r="M5" s="1">
        <v>0</v>
      </c>
      <c r="N5" s="25">
        <v>1.71</v>
      </c>
      <c r="O5" s="25">
        <f>+AVERAGE(P5:Q5)</f>
        <v>23.75</v>
      </c>
      <c r="P5" s="25">
        <v>27.4</v>
      </c>
      <c r="Q5" s="25">
        <v>20.1</v>
      </c>
      <c r="R5" s="25">
        <v>1.71</v>
      </c>
      <c r="S5" s="5">
        <f>2.501-(2.361*10^-3)*O5</f>
        <v>2.44492625</v>
      </c>
      <c r="T5" s="5">
        <f>4098*Y5/(O5+237.3)^2</f>
        <v>0.1768196352181796</v>
      </c>
      <c r="U5" s="22">
        <v>0.063</v>
      </c>
      <c r="V5" s="32">
        <f>+(W5+X5)/2</f>
        <v>3.0023141487088174</v>
      </c>
      <c r="W5" s="6">
        <f>0.611*EXP((17.27*P5)/(P5+237.3))</f>
        <v>3.6510627705463885</v>
      </c>
      <c r="X5" s="6">
        <f>0.611*EXP((17.27*Q5)/(Q5+237.3))</f>
        <v>2.3535655268712463</v>
      </c>
      <c r="Y5" s="6">
        <f>0.611*EXP((17.27*O5)/(O5+237.3))</f>
        <v>2.9403967313874806</v>
      </c>
      <c r="Z5" s="6">
        <f>+(X5*(AG5/100)+W5*(AH5/100))/2</f>
        <v>2.232332409603208</v>
      </c>
      <c r="AA5" s="6">
        <f>+V5-Z5</f>
        <v>0.7699817391056096</v>
      </c>
      <c r="AB5" s="5">
        <f>0.408*T5*(L5-M5)</f>
        <v>1.0380263002302828</v>
      </c>
      <c r="AC5" s="5">
        <f>+U5*(900/(O5+273))*R5*AA5</f>
        <v>0.2515758027917863</v>
      </c>
      <c r="AD5" s="5">
        <f>+T5+U5*(1+(0.34*R5))</f>
        <v>0.2764478352181796</v>
      </c>
      <c r="AE5" s="28">
        <f>+(AB5+AC5)/AD5</f>
        <v>4.664902157777009</v>
      </c>
      <c r="AF5" s="25">
        <f>+AVERAGE(AG5:AH5)</f>
        <v>78.2</v>
      </c>
      <c r="AG5" s="26">
        <v>96</v>
      </c>
      <c r="AH5" s="26">
        <v>60.4</v>
      </c>
    </row>
    <row r="6" spans="1:34" ht="12.75">
      <c r="A6" s="21">
        <f>A5+1</f>
        <v>41946</v>
      </c>
      <c r="B6" s="20">
        <f>+B5+1</f>
        <v>307</v>
      </c>
      <c r="C6" s="25">
        <v>240.23</v>
      </c>
      <c r="D6" s="3">
        <f>+C6*0.0864</f>
        <v>20.755872</v>
      </c>
      <c r="E6" s="17">
        <f>0.409*SIN(0.0172*B6-1.39)</f>
        <v>-0.27843314025077076</v>
      </c>
      <c r="F6" s="17">
        <f>1+0.033*COS(0.0172*B6)</f>
        <v>1.0177525631110025</v>
      </c>
      <c r="G6" s="17">
        <f>+ACOS(-TAN($D$1)*TAN(E6))</f>
        <v>1.6850910531519212</v>
      </c>
      <c r="H6" s="10">
        <f>37.6*F6*(G6*SIN($D$1)*SIN(E6)+COS($D$1)*COS(E6)*SIN(G6))</f>
        <v>40.51893530276941</v>
      </c>
      <c r="I6" s="17">
        <f>+(0.75+2*10^-5*11)*H6</f>
        <v>30.398115642843663</v>
      </c>
      <c r="J6" s="32">
        <f>(1-0.23)*D6</f>
        <v>15.98202144</v>
      </c>
      <c r="K6" s="33">
        <f>4.903*10^-9*(((P6+273.3)^4+(Q6+273.3)^4)/2)*(0.34-0.14*SQRT(Z6))*(1.35*(D6/I6)-0.35)</f>
        <v>3.0267392473506445</v>
      </c>
      <c r="L6" s="6">
        <f>+J6-K6</f>
        <v>12.955282192649356</v>
      </c>
      <c r="M6" s="1">
        <v>0</v>
      </c>
      <c r="N6" s="25">
        <v>2.32</v>
      </c>
      <c r="O6" s="25">
        <f>+AVERAGE(P6:Q6)</f>
        <v>22.5</v>
      </c>
      <c r="P6" s="25">
        <v>26.6</v>
      </c>
      <c r="Q6" s="25">
        <v>18.4</v>
      </c>
      <c r="R6" s="25">
        <v>2.32</v>
      </c>
      <c r="S6" s="5">
        <f>2.501-(2.361*10^-3)*O6</f>
        <v>2.4478774999999997</v>
      </c>
      <c r="T6" s="5">
        <f>4098*Y6/(O6+237.3)^2</f>
        <v>0.1655373460837657</v>
      </c>
      <c r="U6" s="22">
        <v>0.063</v>
      </c>
      <c r="V6" s="32">
        <f>+(W6+X6)/2</f>
        <v>2.8004155152018955</v>
      </c>
      <c r="W6" s="6">
        <f>0.611*EXP((17.27*P6)/(P6+237.3))</f>
        <v>3.483663206744623</v>
      </c>
      <c r="X6" s="6">
        <f>0.611*EXP((17.27*Q6)/(Q6+237.3))</f>
        <v>2.1171678236591673</v>
      </c>
      <c r="Y6" s="6">
        <f>0.611*EXP((17.27*O6)/(O6+237.3))</f>
        <v>2.7264800714406277</v>
      </c>
      <c r="Z6" s="6">
        <f>+(X6*(AG6/100)+W6*(AH6/100))/2</f>
        <v>2.0232889211017206</v>
      </c>
      <c r="AA6" s="6">
        <f>+V6-Z6</f>
        <v>0.7771265941001748</v>
      </c>
      <c r="AB6" s="5">
        <f>0.408*T6*(L6-M6)</f>
        <v>0.8749898770304769</v>
      </c>
      <c r="AC6" s="5">
        <f>+U6*(900/(O6+273))*R6*AA6</f>
        <v>0.34594362333100975</v>
      </c>
      <c r="AD6" s="5">
        <f>+T6+U6*(1+(0.34*R6))</f>
        <v>0.2782317460837657</v>
      </c>
      <c r="AE6" s="28">
        <f>+(AB6+AC6)/AD6</f>
        <v>4.388189045810419</v>
      </c>
      <c r="AF6" s="25">
        <f>+AVERAGE(AG6:AH6)</f>
        <v>77.3</v>
      </c>
      <c r="AG6" s="26">
        <v>98</v>
      </c>
      <c r="AH6" s="26">
        <v>56.6</v>
      </c>
    </row>
    <row r="7" spans="1:34" ht="12.75">
      <c r="A7" s="21">
        <f>A6+1</f>
        <v>41947</v>
      </c>
      <c r="B7" s="20">
        <f>+B6+1</f>
        <v>308</v>
      </c>
      <c r="C7" s="25">
        <v>292.14</v>
      </c>
      <c r="D7" s="3">
        <f>+C7*0.0864</f>
        <v>25.240896</v>
      </c>
      <c r="E7" s="17">
        <f>0.409*SIN(0.0172*B7-1.39)</f>
        <v>-0.28354470155847794</v>
      </c>
      <c r="F7" s="17">
        <f>1+0.033*COS(0.0172*B7)</f>
        <v>1.0182283848880556</v>
      </c>
      <c r="G7" s="17">
        <f>+ACOS(-TAN($D$1)*TAN(E7))</f>
        <v>1.6873150432471782</v>
      </c>
      <c r="H7" s="10">
        <f>37.6*F7*(G7*SIN($D$1)*SIN(E7)+COS($D$1)*COS(E7)*SIN(G7))</f>
        <v>40.6052925814889</v>
      </c>
      <c r="I7" s="17">
        <f>+(0.75+2*10^-5*11)*H7</f>
        <v>30.4629026004846</v>
      </c>
      <c r="J7" s="32">
        <f>(1-0.23)*D7</f>
        <v>19.43548992</v>
      </c>
      <c r="K7" s="33">
        <f>4.903*10^-9*(((P7+273.3)^4+(Q7+273.3)^4)/2)*(0.34-0.14*SQRT(Z7))*(1.35*(D7/I7)-0.35)</f>
        <v>3.7651218451702415</v>
      </c>
      <c r="L7" s="6">
        <f>+J7-K7</f>
        <v>15.670368074829756</v>
      </c>
      <c r="M7" s="1">
        <v>0</v>
      </c>
      <c r="N7" s="25">
        <v>2.25</v>
      </c>
      <c r="O7" s="25">
        <f>+AVERAGE(P7:Q7)</f>
        <v>21.8</v>
      </c>
      <c r="P7" s="25">
        <v>24.3</v>
      </c>
      <c r="Q7" s="25">
        <v>19.3</v>
      </c>
      <c r="R7" s="25">
        <v>2.25</v>
      </c>
      <c r="S7" s="5">
        <f>2.501-(2.361*10^-3)*O7</f>
        <v>2.4495302</v>
      </c>
      <c r="T7" s="5">
        <f>4098*Y7/(O7+237.3)^2</f>
        <v>0.15948916488660633</v>
      </c>
      <c r="U7" s="22">
        <v>0.063</v>
      </c>
      <c r="V7" s="32">
        <f>+(W7+X7)/2</f>
        <v>2.6393288573813116</v>
      </c>
      <c r="W7" s="6">
        <f>0.611*EXP((17.27*P7)/(P7+237.3))</f>
        <v>3.0390664996731562</v>
      </c>
      <c r="X7" s="6">
        <f>0.611*EXP((17.27*Q7)/(Q7+237.3))</f>
        <v>2.2395912150894666</v>
      </c>
      <c r="Y7" s="6">
        <f>0.611*EXP((17.27*O7)/(O7+237.3))</f>
        <v>2.612727136015426</v>
      </c>
      <c r="Z7" s="6">
        <f>+(X7*(AG7/100)+W7*(AH7/100))/2</f>
        <v>2.2138595474270693</v>
      </c>
      <c r="AA7" s="6">
        <f>+V7-Z7</f>
        <v>0.42546930995424237</v>
      </c>
      <c r="AB7" s="5">
        <f>0.408*T7*(L7-M7)</f>
        <v>1.0196955984298968</v>
      </c>
      <c r="AC7" s="5">
        <f>+U7*(900/(O7+273))*R7*AA7</f>
        <v>0.18412227685689442</v>
      </c>
      <c r="AD7" s="5">
        <f>+T7+U7*(1+(0.34*R7))</f>
        <v>0.27068416488660635</v>
      </c>
      <c r="AE7" s="28">
        <f>+(AB7+AC7)/AD7</f>
        <v>4.447315474812088</v>
      </c>
      <c r="AF7" s="25">
        <f>+AVERAGE(AG7:AH7)</f>
        <v>86</v>
      </c>
      <c r="AG7" s="26">
        <v>100</v>
      </c>
      <c r="AH7" s="26">
        <v>72</v>
      </c>
    </row>
    <row r="10" ht="12.75">
      <c r="K10" s="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Mendonça</dc:creator>
  <cp:keywords/>
  <dc:description/>
  <cp:lastModifiedBy>Windows</cp:lastModifiedBy>
  <dcterms:created xsi:type="dcterms:W3CDTF">2003-09-08T14:22:08Z</dcterms:created>
  <dcterms:modified xsi:type="dcterms:W3CDTF">2015-12-29T12:26:10Z</dcterms:modified>
  <cp:category/>
  <cp:version/>
  <cp:contentType/>
  <cp:contentStatus/>
</cp:coreProperties>
</file>